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bazv3331\Desktop\"/>
    </mc:Choice>
  </mc:AlternateContent>
  <bookViews>
    <workbookView xWindow="0" yWindow="0" windowWidth="15690" windowHeight="12075"/>
  </bookViews>
  <sheets>
    <sheet name="Urlaubsberechnung" sheetId="1" r:id="rId1"/>
    <sheet name="Urlaubsüberwachung" sheetId="3" r:id="rId2"/>
    <sheet name="Anleitung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N21" i="1"/>
  <c r="N22" i="1"/>
  <c r="N23" i="1"/>
  <c r="N24" i="1"/>
  <c r="N25" i="1"/>
  <c r="N26" i="1"/>
  <c r="N27" i="1"/>
  <c r="N28" i="1"/>
  <c r="N29" i="1"/>
  <c r="N30" i="1"/>
  <c r="N19" i="1"/>
  <c r="J30" i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K29" i="1" l="1"/>
  <c r="K21" i="1"/>
  <c r="K26" i="1"/>
  <c r="L30" i="1"/>
  <c r="K22" i="1"/>
  <c r="K23" i="1"/>
  <c r="K24" i="1"/>
  <c r="K25" i="1"/>
  <c r="K19" i="1"/>
  <c r="K27" i="1"/>
  <c r="K20" i="1"/>
  <c r="K28" i="1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17" i="3"/>
  <c r="B6" i="3"/>
  <c r="B4" i="3"/>
  <c r="B2" i="3"/>
  <c r="H9" i="1" l="1"/>
  <c r="K30" i="1" s="1"/>
  <c r="B30" i="1"/>
  <c r="B29" i="1"/>
  <c r="B28" i="1"/>
  <c r="B27" i="1"/>
  <c r="B26" i="1"/>
  <c r="B25" i="1"/>
  <c r="B24" i="1"/>
  <c r="B23" i="1"/>
  <c r="B22" i="1"/>
  <c r="B21" i="1"/>
  <c r="B20" i="1"/>
  <c r="B19" i="1"/>
  <c r="D23" i="1" l="1"/>
  <c r="M23" i="1"/>
  <c r="O23" i="1" s="1"/>
  <c r="P23" i="1" s="1"/>
  <c r="D24" i="1"/>
  <c r="M24" i="1"/>
  <c r="O24" i="1" s="1"/>
  <c r="P24" i="1" s="1"/>
  <c r="D25" i="1"/>
  <c r="M25" i="1"/>
  <c r="O25" i="1" s="1"/>
  <c r="P25" i="1" s="1"/>
  <c r="D26" i="1"/>
  <c r="M26" i="1"/>
  <c r="O26" i="1" s="1"/>
  <c r="P26" i="1" s="1"/>
  <c r="D27" i="1"/>
  <c r="M27" i="1"/>
  <c r="O27" i="1" s="1"/>
  <c r="P27" i="1" s="1"/>
  <c r="D28" i="1"/>
  <c r="M28" i="1"/>
  <c r="O28" i="1" s="1"/>
  <c r="P28" i="1" s="1"/>
  <c r="D21" i="1"/>
  <c r="M21" i="1"/>
  <c r="O21" i="1" s="1"/>
  <c r="P21" i="1" s="1"/>
  <c r="D29" i="1"/>
  <c r="M29" i="1"/>
  <c r="O29" i="1" s="1"/>
  <c r="P29" i="1" s="1"/>
  <c r="D20" i="1"/>
  <c r="M20" i="1"/>
  <c r="O20" i="1" s="1"/>
  <c r="P20" i="1" s="1"/>
  <c r="D22" i="1"/>
  <c r="M22" i="1"/>
  <c r="O22" i="1" s="1"/>
  <c r="P22" i="1" s="1"/>
  <c r="D30" i="1"/>
  <c r="M30" i="1"/>
  <c r="O30" i="1" s="1"/>
  <c r="P30" i="1" s="1"/>
  <c r="D19" i="1"/>
  <c r="M19" i="1"/>
  <c r="O19" i="1" s="1"/>
  <c r="P19" i="1" s="1"/>
  <c r="C20" i="1"/>
  <c r="E20" i="1" s="1"/>
  <c r="F20" i="1" s="1"/>
  <c r="C22" i="1"/>
  <c r="E22" i="1" s="1"/>
  <c r="C24" i="1"/>
  <c r="E24" i="1" s="1"/>
  <c r="F24" i="1" s="1"/>
  <c r="C26" i="1"/>
  <c r="E26" i="1" s="1"/>
  <c r="C28" i="1"/>
  <c r="E28" i="1" s="1"/>
  <c r="C19" i="1"/>
  <c r="E19" i="1" s="1"/>
  <c r="C21" i="1"/>
  <c r="E21" i="1" s="1"/>
  <c r="C23" i="1"/>
  <c r="E23" i="1" s="1"/>
  <c r="C25" i="1"/>
  <c r="E25" i="1" s="1"/>
  <c r="C27" i="1"/>
  <c r="E27" i="1" s="1"/>
  <c r="C29" i="1"/>
  <c r="E29" i="1" s="1"/>
  <c r="C30" i="1"/>
  <c r="E30" i="1" s="1"/>
  <c r="F25" i="1" l="1"/>
  <c r="G25" i="1" s="1"/>
  <c r="Q25" i="1" s="1"/>
  <c r="F28" i="1"/>
  <c r="G28" i="1" s="1"/>
  <c r="Q28" i="1" s="1"/>
  <c r="F26" i="1"/>
  <c r="G26" i="1" s="1"/>
  <c r="Q26" i="1" s="1"/>
  <c r="F22" i="1"/>
  <c r="F19" i="1"/>
  <c r="G19" i="1" s="1"/>
  <c r="F29" i="1"/>
  <c r="G29" i="1" s="1"/>
  <c r="F23" i="1"/>
  <c r="G23" i="1" s="1"/>
  <c r="Q23" i="1" s="1"/>
  <c r="F21" i="1"/>
  <c r="G21" i="1" s="1"/>
  <c r="Q21" i="1" s="1"/>
  <c r="F30" i="1"/>
  <c r="G30" i="1" s="1"/>
  <c r="F27" i="1"/>
  <c r="G27" i="1" s="1"/>
  <c r="Q27" i="1" s="1"/>
  <c r="G24" i="1"/>
  <c r="Q24" i="1" s="1"/>
  <c r="G20" i="1"/>
  <c r="Q20" i="1" s="1"/>
  <c r="G22" i="1"/>
  <c r="Q22" i="1" s="1"/>
  <c r="R28" i="1" l="1"/>
  <c r="R24" i="1"/>
  <c r="R30" i="1"/>
  <c r="Q30" i="1"/>
  <c r="R22" i="1"/>
  <c r="R25" i="1"/>
  <c r="R27" i="1"/>
  <c r="R29" i="1"/>
  <c r="Q29" i="1"/>
  <c r="R21" i="1"/>
  <c r="R19" i="1"/>
  <c r="Q19" i="1"/>
  <c r="R26" i="1"/>
  <c r="R23" i="1"/>
  <c r="R20" i="1"/>
  <c r="I19" i="1"/>
  <c r="I23" i="1"/>
  <c r="I30" i="1"/>
  <c r="I24" i="1"/>
  <c r="I25" i="1"/>
  <c r="I29" i="1"/>
  <c r="I27" i="1"/>
  <c r="I20" i="1"/>
  <c r="I22" i="1"/>
  <c r="I28" i="1"/>
  <c r="I26" i="1"/>
  <c r="I21" i="1"/>
  <c r="U18" i="1" l="1"/>
  <c r="G34" i="1" s="1"/>
  <c r="U22" i="1" s="1"/>
  <c r="U23" i="1" s="1"/>
  <c r="G32" i="1"/>
  <c r="B10" i="3" s="1"/>
  <c r="B12" i="3" s="1"/>
  <c r="A16" i="3" s="1"/>
  <c r="U24" i="1" l="1"/>
  <c r="U25" i="1" s="1"/>
  <c r="U26" i="1" s="1"/>
  <c r="H34" i="1" l="1"/>
</calcChain>
</file>

<file path=xl/sharedStrings.xml><?xml version="1.0" encoding="utf-8"?>
<sst xmlns="http://schemas.openxmlformats.org/spreadsheetml/2006/main" count="76" uniqueCount="65">
  <si>
    <t>Name:</t>
  </si>
  <si>
    <t>Vorname:</t>
  </si>
  <si>
    <t>Vertragsbeginn:</t>
  </si>
  <si>
    <t>Vertragsende:</t>
  </si>
  <si>
    <t>Monat</t>
  </si>
  <si>
    <t>Januar</t>
  </si>
  <si>
    <t>Februar</t>
  </si>
  <si>
    <t>März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</si>
  <si>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</si>
  <si>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</si>
  <si>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</si>
  <si>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</si>
  <si>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</si>
  <si>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</si>
  <si>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</si>
  <si>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</si>
  <si>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Urlaubsjahr:</t>
  </si>
  <si>
    <t>Arbeitstage pro Woche</t>
  </si>
  <si>
    <t>Beginn</t>
  </si>
  <si>
    <t>Ende</t>
  </si>
  <si>
    <t>April</t>
  </si>
  <si>
    <t>Beginn_Ergebnis</t>
  </si>
  <si>
    <t>Ende_Ergebnis</t>
  </si>
  <si>
    <t>Gesamt_Ergebnis</t>
  </si>
  <si>
    <t>Tage</t>
  </si>
  <si>
    <t>Urlaubsanspruch im Monat</t>
  </si>
  <si>
    <t>Hinweis!</t>
  </si>
  <si>
    <t>Gelb hinterlegte Felder sind veränderbar.</t>
  </si>
  <si>
    <t>Urlaubsanspruch im Kalenderjahr</t>
  </si>
  <si>
    <t>Anleitung zur Nutzung der Urlaubsberechnung</t>
  </si>
  <si>
    <t>1.</t>
  </si>
  <si>
    <t>Den Kopfteil des Arbeitsblatts ausfüllen, damit eine Berechnung möglich ist.</t>
  </si>
  <si>
    <t>2.</t>
  </si>
  <si>
    <t>In der Spalte "Arbeitstage pro Woche" den entsprechenden Wert (1-5) im jeweiligen Monat eintragen. Ein Änderung der Anzahl der Arbeitstage soll nur monatsweise erfolgen, da ansonsten eine Berechnung unmöglich wird.</t>
  </si>
  <si>
    <t>Für Rückfragen hierzu steht die Referatsleitung III/3 zur Verfügung.</t>
  </si>
  <si>
    <t>Resturlaub (Vorjahr):</t>
  </si>
  <si>
    <t>Urlaub (aktuelles Jahr):</t>
  </si>
  <si>
    <t>Urlaubsanspruch gesamt:</t>
  </si>
  <si>
    <t>Urlaubsanspruch verbleibend</t>
  </si>
  <si>
    <t>Urlaub von</t>
  </si>
  <si>
    <t>Urlaub bis</t>
  </si>
  <si>
    <t>Anzahl benötigter Urlaubstage</t>
  </si>
  <si>
    <t>Anleitung zur Nutzung der Urlaubsüberwachung</t>
  </si>
  <si>
    <t>Daten in der Urlaubsberechnung müssen gefüllt sein.</t>
  </si>
  <si>
    <t>Resturlaub aus dem Vorjahr eintragen</t>
  </si>
  <si>
    <t>3.</t>
  </si>
  <si>
    <t>Urlaubszeitraum eintragen sowie benötigte Urlaubstage. Resturlaub wird dann automatisch berechnet.</t>
  </si>
  <si>
    <t>Grad der Behinderung:</t>
  </si>
  <si>
    <t>Grad der Behinderung seit:</t>
  </si>
  <si>
    <t>Grad der Behinderung bis:</t>
  </si>
  <si>
    <t>Berücksichtigung § 208 SGB IX</t>
  </si>
  <si>
    <t>Grad mind. 50%</t>
  </si>
  <si>
    <t>Berücksichtigung für Zusatzurlaub</t>
  </si>
  <si>
    <t>Berücksichtigung Erholungsurlaub</t>
  </si>
  <si>
    <t>Anspruch Zusatzurlaub</t>
  </si>
  <si>
    <t>Anspruch Zusatzurlaub im Kalenderjahr</t>
  </si>
  <si>
    <t>Summe Anspruch Zusatzurlaub</t>
  </si>
  <si>
    <t>Wenn ungerades Ergebnis und Komma nicht mind. 0,5 dann in Stunden und Minuten umrechnen</t>
  </si>
  <si>
    <t>Umrechnen von</t>
  </si>
  <si>
    <t>Ergebnis Stunden</t>
  </si>
  <si>
    <t>Ergebnis Minuten</t>
  </si>
  <si>
    <t>Umrechnen in Stunden</t>
  </si>
  <si>
    <t>Umrechnen Rest in Minuten</t>
  </si>
  <si>
    <t>(unbefristet wird mit "31.12.9999" eingetragen)</t>
  </si>
  <si>
    <t>(100% wird als "100" eingetragen)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</si>
</sst>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1" xfId="0" applyBorder="1"/>
    <xf numFmtId="14" fontId="0" fillId="0" borderId="1" xfId="0" applyNumberFormat="1" applyBorder="1"/>
    <xf numFmtId="0" fontId="1" fillId="3" borderId="1" xfId="0" applyFont="1" applyFill="1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1" fontId="1" fillId="0" borderId="0" xfId="0" applyNumberFormat="1" applyFont="1"/>
    <xf numFmtId="164" fontId="0" fillId="0" borderId="1" xfId="0" applyNumberFormat="1" applyBorder="1"/>
    <xf numFmtId="0" fontId="1" fillId="0" borderId="0" xfId="0" applyFont="1" applyBorder="1"/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/>
    <xf numFmtId="0" fontId="0" fillId="2" borderId="1" xfId="0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0" borderId="4" xfId="0" applyNumberFormat="1" applyBorder="1"/>
    <xf numFmtId="0" fontId="0" fillId="2" borderId="3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/>
    <xf numFmtId="0" fontId="1" fillId="3" borderId="0" xfId="0" applyFont="1" applyFill="1" applyBorder="1"/>
    <xf numFmtId="2" fontId="0" fillId="0" borderId="1" xfId="0" applyNumberFormat="1" applyBorder="1"/>
    <xf numFmtId="1" fontId="0" fillId="0" borderId="1" xfId="0" applyNumberFormat="1" applyBorder="1"/>
    <xf numFmtId="14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U37"/>
  <sheetViews>
    <sheetView tabSelected="1" topLeftCell="A4" zoomScaleNormal="100" workbookViewId="0">
      <selection activeCell="G7" sqref="G7"/>
    </sheetView>
  </sheetViews>
  <sheetFormatPr baseColWidth="10" defaultRowHeight="15" x14ac:dyDescent="0.25"/>
  <cols>
    <col min="1" max="1" width="37.140625" customWidth="1"/>
    <col min="2" max="3" width="10.140625" hidden="1" customWidth="1"/>
    <col min="4" max="4" width="15.7109375" hidden="1" customWidth="1"/>
    <col min="5" max="5" width="14" hidden="1" customWidth="1"/>
    <col min="6" max="6" width="16.5703125" hidden="1" customWidth="1"/>
    <col min="7" max="7" width="31.28515625" bestFit="1" customWidth="1"/>
    <col min="8" max="8" width="21.5703125" bestFit="1" customWidth="1"/>
    <col min="9" max="9" width="24.85546875" bestFit="1" customWidth="1"/>
    <col min="10" max="15" width="24.85546875" hidden="1" customWidth="1"/>
    <col min="16" max="16" width="27.42578125" hidden="1" customWidth="1"/>
    <col min="17" max="17" width="31.140625" bestFit="1" customWidth="1"/>
    <col min="18" max="18" width="21.28515625" bestFit="1" customWidth="1"/>
    <col min="20" max="20" width="28.5703125" hidden="1" customWidth="1"/>
    <col min="21" max="21" width="0" hidden="1" customWidth="1"/>
  </cols>
  <sheetData>
    <row r="1" spans="1:9" x14ac:dyDescent="0.25">
      <c r="A1" s="5" t="s">
        <v>0</v>
      </c>
      <c r="B1" s="6"/>
      <c r="C1" s="6"/>
      <c r="D1" s="6"/>
      <c r="E1" s="6"/>
      <c r="F1" s="6"/>
      <c r="G1" s="23"/>
      <c r="H1" s="24"/>
    </row>
    <row r="3" spans="1:9" x14ac:dyDescent="0.25">
      <c r="A3" s="5" t="s">
        <v>1</v>
      </c>
      <c r="B3" s="6"/>
      <c r="C3" s="6"/>
      <c r="D3" s="6"/>
      <c r="E3" s="6"/>
      <c r="F3" s="6"/>
      <c r="G3" s="23"/>
      <c r="H3" s="24"/>
    </row>
    <row r="5" spans="1:9" x14ac:dyDescent="0.25">
      <c r="A5" s="5" t="s">
        <v>2</v>
      </c>
      <c r="B5" s="6"/>
      <c r="C5" s="6"/>
      <c r="D5" s="6"/>
      <c r="E5" s="6"/>
      <c r="F5" s="6"/>
      <c r="G5" s="11"/>
    </row>
    <row r="6" spans="1:9" x14ac:dyDescent="0.25">
      <c r="G6" s="12"/>
    </row>
    <row r="7" spans="1:9" x14ac:dyDescent="0.25">
      <c r="A7" s="5" t="s">
        <v>3</v>
      </c>
      <c r="B7" s="6"/>
      <c r="C7" s="6"/>
      <c r="D7" s="6"/>
      <c r="E7" s="6"/>
      <c r="F7" s="6"/>
      <c r="G7" s="11"/>
      <c r="I7" t="s">
        <v>63</v>
      </c>
    </row>
    <row r="8" spans="1:9" x14ac:dyDescent="0.25">
      <c r="G8" s="12"/>
    </row>
    <row r="9" spans="1:9" x14ac:dyDescent="0.25">
      <c r="A9" s="5" t="s">
        <v>16</v>
      </c>
      <c r="B9" s="6"/>
      <c r="C9" s="6"/>
      <c r="D9" s="6"/>
      <c r="E9" s="6"/>
      <c r="F9" s="6"/>
      <c r="G9" s="13">
        <v>2020</v>
      </c>
      <c r="H9" s="1">
        <f>G9+1</f>
        <v>2021</v>
      </c>
    </row>
    <row r="10" spans="1:9" x14ac:dyDescent="0.25">
      <c r="G10" s="12"/>
      <c r="H10" s="1"/>
    </row>
    <row r="11" spans="1:9" x14ac:dyDescent="0.25">
      <c r="A11" s="5" t="s">
        <v>47</v>
      </c>
      <c r="B11" s="6"/>
      <c r="C11" s="6"/>
      <c r="D11" s="6"/>
      <c r="E11" s="6"/>
      <c r="F11" s="6"/>
      <c r="G11" s="13"/>
      <c r="H11" s="1"/>
      <c r="I11" t="s">
        <v>64</v>
      </c>
    </row>
    <row r="12" spans="1:9" x14ac:dyDescent="0.25">
      <c r="A12" s="27"/>
      <c r="B12" s="27"/>
      <c r="C12" s="27"/>
      <c r="D12" s="27"/>
      <c r="E12" s="27"/>
      <c r="F12" s="27"/>
      <c r="G12" s="12"/>
      <c r="H12" s="1"/>
    </row>
    <row r="13" spans="1:9" x14ac:dyDescent="0.25">
      <c r="A13" s="5" t="s">
        <v>48</v>
      </c>
      <c r="B13" s="6"/>
      <c r="C13" s="6"/>
      <c r="D13" s="6"/>
      <c r="E13" s="6"/>
      <c r="F13" s="6"/>
      <c r="G13" s="11"/>
      <c r="H13" s="1"/>
    </row>
    <row r="14" spans="1:9" x14ac:dyDescent="0.25">
      <c r="A14" s="27"/>
      <c r="B14" s="27"/>
      <c r="C14" s="27"/>
      <c r="D14" s="27"/>
      <c r="E14" s="27"/>
      <c r="F14" s="27"/>
      <c r="G14" s="12"/>
      <c r="H14" s="1"/>
    </row>
    <row r="15" spans="1:9" x14ac:dyDescent="0.25">
      <c r="A15" s="5" t="s">
        <v>49</v>
      </c>
      <c r="B15" s="6"/>
      <c r="C15" s="6"/>
      <c r="D15" s="6"/>
      <c r="E15" s="6"/>
      <c r="F15" s="6"/>
      <c r="G15" s="11"/>
      <c r="H15" s="1"/>
      <c r="I15" t="s">
        <v>63</v>
      </c>
    </row>
    <row r="16" spans="1:9" x14ac:dyDescent="0.25">
      <c r="H16" s="1"/>
    </row>
    <row r="18" spans="1:21" x14ac:dyDescent="0.25">
      <c r="A18" s="4" t="s">
        <v>4</v>
      </c>
      <c r="B18" s="4" t="s">
        <v>18</v>
      </c>
      <c r="C18" s="4" t="s">
        <v>19</v>
      </c>
      <c r="D18" s="4" t="s">
        <v>21</v>
      </c>
      <c r="E18" s="4" t="s">
        <v>22</v>
      </c>
      <c r="F18" s="4" t="s">
        <v>23</v>
      </c>
      <c r="G18" s="4" t="s">
        <v>53</v>
      </c>
      <c r="H18" s="4" t="s">
        <v>17</v>
      </c>
      <c r="I18" s="4" t="s">
        <v>25</v>
      </c>
      <c r="J18" s="28" t="s">
        <v>18</v>
      </c>
      <c r="K18" s="28" t="s">
        <v>19</v>
      </c>
      <c r="L18" s="28" t="s">
        <v>21</v>
      </c>
      <c r="M18" s="28" t="s">
        <v>22</v>
      </c>
      <c r="N18" s="28" t="s">
        <v>51</v>
      </c>
      <c r="O18" s="28" t="s">
        <v>23</v>
      </c>
      <c r="P18" s="4" t="s">
        <v>50</v>
      </c>
      <c r="Q18" s="4" t="s">
        <v>52</v>
      </c>
      <c r="R18" s="4" t="s">
        <v>54</v>
      </c>
      <c r="T18" s="28" t="s">
        <v>56</v>
      </c>
      <c r="U18" s="33">
        <f>SUM(R19:R30)</f>
        <v>0</v>
      </c>
    </row>
    <row r="19" spans="1:21" x14ac:dyDescent="0.25">
      <c r="A19" s="2" t="s">
        <v>5</v>
      </c>
      <c r="B19" s="3">
        <f>IF($G$5&lt;=DATE($G$9,1,1),DATE($G$9,1,1),"---")</f>
        <v>43831</v>
      </c>
      <c r="C19" s="3" t="str">
        <f>IF(B19="---","---",IF($G$7&lt;(DATE($G$9,2,1)-1),"---",(DATE($G$9,2,1)-1)))</f>
        <v>---</v>
      </c>
      <c r="D19" s="3" t="str">
        <f>IF(B19="---","NEIN","JA")</f>
        <v>JA</v>
      </c>
      <c r="E19" s="3" t="str">
        <f>IF(C19="---","NEIN","JA")</f>
        <v>NEIN</v>
      </c>
      <c r="F19" s="2">
        <f>IF(D19=E19,2,1)</f>
        <v>1</v>
      </c>
      <c r="G19" s="31" t="str">
        <f>IF(F19=1,"NEIN",IF(F19=2,IF(D19="JA","JA","NEIN"),"FEHLER"))</f>
        <v>NEIN</v>
      </c>
      <c r="H19" s="32">
        <v>5</v>
      </c>
      <c r="I19" s="9">
        <f>IF(G19="JA",((30/12)/5)*H19,0)</f>
        <v>0</v>
      </c>
      <c r="J19" s="3">
        <f>IF($G$13&lt;=DATE($G$9,1,1),DATE($G$9,1,1),"---")</f>
        <v>43831</v>
      </c>
      <c r="K19" s="3" t="str">
        <f>IF(J19="---","---",IF($G$15&lt;(DATE($G$9,2,1)-1),"---",(DATE($G$9,2,1)-1)))</f>
        <v>---</v>
      </c>
      <c r="L19" s="3" t="str">
        <f>IF(J19="---","NEIN","JA")</f>
        <v>JA</v>
      </c>
      <c r="M19" s="3" t="str">
        <f>IF(K19="---","NEIN","JA")</f>
        <v>NEIN</v>
      </c>
      <c r="N19" s="3" t="str">
        <f>IF($G$11&gt;=50,"JA","NEIN")</f>
        <v>NEIN</v>
      </c>
      <c r="O19" s="30">
        <f>COUNTIF(L19:N19,"JA")</f>
        <v>1</v>
      </c>
      <c r="P19" s="9" t="str">
        <f>IF(O19=3,"JA","NEIN")</f>
        <v>NEIN</v>
      </c>
      <c r="Q19" s="9" t="str">
        <f>IF(G19="NEIN","NEIN",IF(P19="NEIN","NEIN","JA"))</f>
        <v>NEIN</v>
      </c>
      <c r="R19" s="29">
        <f>IF(G19="NEIN",0,IF(P19="JA",((5/12)/5)*H19,0))</f>
        <v>0</v>
      </c>
    </row>
    <row r="20" spans="1:21" x14ac:dyDescent="0.25">
      <c r="A20" s="2" t="s">
        <v>6</v>
      </c>
      <c r="B20" s="3">
        <f>IF($G$5&lt;=DATE($G$9,2,1),DATE($G$9,2,1),"---")</f>
        <v>43862</v>
      </c>
      <c r="C20" s="3" t="str">
        <f>IF(B20="---","---",IF($G$7&lt;(DATE($G$9,3,1)-1),"---",(DATE($G$9,3,1)-1)))</f>
        <v>---</v>
      </c>
      <c r="D20" s="3" t="str">
        <f t="shared" ref="D20:D30" si="0">IF(B20="---","NEIN","JA")</f>
        <v>JA</v>
      </c>
      <c r="E20" s="3" t="str">
        <f t="shared" ref="E20:E30" si="1">IF(C20="---","NEIN","JA")</f>
        <v>NEIN</v>
      </c>
      <c r="F20" s="2">
        <f t="shared" ref="F20:F30" si="2">IF(D20=E20,2,1)</f>
        <v>1</v>
      </c>
      <c r="G20" s="31" t="str">
        <f t="shared" ref="G20:G30" si="3">IF(F20=1,"NEIN",IF(F20=2,IF(D20="JA","JA","NEIN"),"FEHLER"))</f>
        <v>NEIN</v>
      </c>
      <c r="H20" s="32">
        <v>5</v>
      </c>
      <c r="I20" s="9">
        <f t="shared" ref="I20:I30" si="4">IF(G20="JA",((30/12)/5)*H20,0)</f>
        <v>0</v>
      </c>
      <c r="J20" s="3">
        <f>IF($G$13&lt;=DATE($G$9,2,1),DATE($G$9,2,1),"---")</f>
        <v>43862</v>
      </c>
      <c r="K20" s="3" t="str">
        <f>IF(J20="---","---",IF($G$15&lt;(DATE($G$9,3,1)-1),"---",(DATE($G$9,3,1)-1)))</f>
        <v>---</v>
      </c>
      <c r="L20" s="3" t="str">
        <f t="shared" ref="L20:L30" si="5">IF(J20="---","NEIN","JA")</f>
        <v>JA</v>
      </c>
      <c r="M20" s="3" t="str">
        <f t="shared" ref="M20:M30" si="6">IF(K20="---","NEIN","JA")</f>
        <v>NEIN</v>
      </c>
      <c r="N20" s="3" t="str">
        <f t="shared" ref="N20:N30" si="7">IF($G$11&gt;=50,"JA","NEIN")</f>
        <v>NEIN</v>
      </c>
      <c r="O20" s="30">
        <f t="shared" ref="O20:O30" si="8">COUNTIF(L20:N20,"JA")</f>
        <v>1</v>
      </c>
      <c r="P20" s="9" t="str">
        <f t="shared" ref="P20:P30" si="9">IF(O20=3,"JA","NEIN")</f>
        <v>NEIN</v>
      </c>
      <c r="Q20" s="9" t="str">
        <f t="shared" ref="Q20:Q30" si="10">IF(G20="NEIN","NEIN",IF(P20="NEIN","NEIN","JA"))</f>
        <v>NEIN</v>
      </c>
      <c r="R20" s="29">
        <f t="shared" ref="R20:R30" si="11">IF(G20="NEIN",0,IF(P20="JA",((5/12)/5)*H20,0))</f>
        <v>0</v>
      </c>
      <c r="T20" t="s">
        <v>57</v>
      </c>
    </row>
    <row r="21" spans="1:21" x14ac:dyDescent="0.25">
      <c r="A21" s="2" t="s">
        <v>7</v>
      </c>
      <c r="B21" s="3">
        <f>IF($G$5&lt;=DATE($G$9,3,1),DATE($G$9,3,1),"---")</f>
        <v>43891</v>
      </c>
      <c r="C21" s="3" t="str">
        <f>IF(B21="---","---",IF($G$7&lt;(DATE($G$9,4,1)-1),"---",(DATE($G$9,4,1)-1)))</f>
        <v>---</v>
      </c>
      <c r="D21" s="3" t="str">
        <f t="shared" si="0"/>
        <v>JA</v>
      </c>
      <c r="E21" s="3" t="str">
        <f t="shared" si="1"/>
        <v>NEIN</v>
      </c>
      <c r="F21" s="2">
        <f t="shared" si="2"/>
        <v>1</v>
      </c>
      <c r="G21" s="31" t="str">
        <f t="shared" si="3"/>
        <v>NEIN</v>
      </c>
      <c r="H21" s="32">
        <v>5</v>
      </c>
      <c r="I21" s="9">
        <f t="shared" si="4"/>
        <v>0</v>
      </c>
      <c r="J21" s="3">
        <f>IF($G$13&lt;=DATE($G$9,3,1),DATE($G$9,3,1),"---")</f>
        <v>43891</v>
      </c>
      <c r="K21" s="3" t="str">
        <f>IF(J21="---","---",IF($G$15&lt;(DATE($G$9,4,1)-1),"---",(DATE($G$9,4,1)-1)))</f>
        <v>---</v>
      </c>
      <c r="L21" s="3" t="str">
        <f t="shared" si="5"/>
        <v>JA</v>
      </c>
      <c r="M21" s="3" t="str">
        <f t="shared" si="6"/>
        <v>NEIN</v>
      </c>
      <c r="N21" s="3" t="str">
        <f t="shared" si="7"/>
        <v>NEIN</v>
      </c>
      <c r="O21" s="30">
        <f t="shared" si="8"/>
        <v>1</v>
      </c>
      <c r="P21" s="9" t="str">
        <f t="shared" si="9"/>
        <v>NEIN</v>
      </c>
      <c r="Q21" s="9" t="str">
        <f t="shared" si="10"/>
        <v>NEIN</v>
      </c>
      <c r="R21" s="29">
        <f t="shared" si="11"/>
        <v>0</v>
      </c>
    </row>
    <row r="22" spans="1:21" x14ac:dyDescent="0.25">
      <c r="A22" s="2" t="s">
        <v>20</v>
      </c>
      <c r="B22" s="3">
        <f>IF($G$5&lt;=DATE($G$9,4,1),DATE($G$9,4,1),"---")</f>
        <v>43922</v>
      </c>
      <c r="C22" s="3" t="str">
        <f>IF(B22="---","---",IF($G$7&lt;(DATE($G$9,5,1)-1),"---",(DATE($G$9,5,1)-1)))</f>
        <v>---</v>
      </c>
      <c r="D22" s="3" t="str">
        <f t="shared" si="0"/>
        <v>JA</v>
      </c>
      <c r="E22" s="3" t="str">
        <f t="shared" si="1"/>
        <v>NEIN</v>
      </c>
      <c r="F22" s="2">
        <f t="shared" si="2"/>
        <v>1</v>
      </c>
      <c r="G22" s="31" t="str">
        <f t="shared" si="3"/>
        <v>NEIN</v>
      </c>
      <c r="H22" s="32">
        <v>5</v>
      </c>
      <c r="I22" s="9">
        <f t="shared" si="4"/>
        <v>0</v>
      </c>
      <c r="J22" s="3">
        <f>IF($G$13&lt;=DATE($G$9,4,1),DATE($G$9,4,1),"---")</f>
        <v>43922</v>
      </c>
      <c r="K22" s="3" t="str">
        <f>IF(J22="---","---",IF($G$15&lt;(DATE($G$9,5,1)-1),"---",(DATE($G$9,5,1)-1)))</f>
        <v>---</v>
      </c>
      <c r="L22" s="3" t="str">
        <f t="shared" si="5"/>
        <v>JA</v>
      </c>
      <c r="M22" s="3" t="str">
        <f t="shared" si="6"/>
        <v>NEIN</v>
      </c>
      <c r="N22" s="3" t="str">
        <f t="shared" si="7"/>
        <v>NEIN</v>
      </c>
      <c r="O22" s="30">
        <f t="shared" si="8"/>
        <v>1</v>
      </c>
      <c r="P22" s="9" t="str">
        <f t="shared" si="9"/>
        <v>NEIN</v>
      </c>
      <c r="Q22" s="9" t="str">
        <f t="shared" si="10"/>
        <v>NEIN</v>
      </c>
      <c r="R22" s="29">
        <f t="shared" si="11"/>
        <v>0</v>
      </c>
      <c r="T22" t="s">
        <v>58</v>
      </c>
      <c r="U22">
        <f>IF(G34&gt;U18,0,U18-G34)</f>
        <v>0</v>
      </c>
    </row>
    <row r="23" spans="1:21" x14ac:dyDescent="0.25">
      <c r="A23" s="2" t="s">
        <v>8</v>
      </c>
      <c r="B23" s="3">
        <f>IF($G$5&lt;=DATE($G$9,5,1),DATE($G$9,5,1),"---")</f>
        <v>43952</v>
      </c>
      <c r="C23" s="3" t="str">
        <f>IF(B23="---","---",IF($G$7&lt;(DATE($G$9,6,1)-1),"---",(DATE($G$9,6,1)-1)))</f>
        <v>---</v>
      </c>
      <c r="D23" s="3" t="str">
        <f t="shared" si="0"/>
        <v>JA</v>
      </c>
      <c r="E23" s="3" t="str">
        <f t="shared" si="1"/>
        <v>NEIN</v>
      </c>
      <c r="F23" s="2">
        <f t="shared" si="2"/>
        <v>1</v>
      </c>
      <c r="G23" s="31" t="str">
        <f t="shared" si="3"/>
        <v>NEIN</v>
      </c>
      <c r="H23" s="32">
        <v>5</v>
      </c>
      <c r="I23" s="9">
        <f t="shared" si="4"/>
        <v>0</v>
      </c>
      <c r="J23" s="3">
        <f>IF($G$13&lt;=DATE($G$9,5,1),DATE($G$9,5,1),"---")</f>
        <v>43952</v>
      </c>
      <c r="K23" s="3" t="str">
        <f>IF(J23="---","---",IF($G$15&lt;(DATE($G$9,6,1)-1),"---",(DATE($G$9,6,1)-1)))</f>
        <v>---</v>
      </c>
      <c r="L23" s="3" t="str">
        <f t="shared" si="5"/>
        <v>JA</v>
      </c>
      <c r="M23" s="3" t="str">
        <f t="shared" si="6"/>
        <v>NEIN</v>
      </c>
      <c r="N23" s="3" t="str">
        <f t="shared" si="7"/>
        <v>NEIN</v>
      </c>
      <c r="O23" s="30">
        <f t="shared" si="8"/>
        <v>1</v>
      </c>
      <c r="P23" s="9" t="str">
        <f t="shared" si="9"/>
        <v>NEIN</v>
      </c>
      <c r="Q23" s="9" t="str">
        <f t="shared" si="10"/>
        <v>NEIN</v>
      </c>
      <c r="R23" s="29">
        <f t="shared" si="11"/>
        <v>0</v>
      </c>
      <c r="T23" t="s">
        <v>61</v>
      </c>
      <c r="U23">
        <f>8*U22</f>
        <v>0</v>
      </c>
    </row>
    <row r="24" spans="1:21" x14ac:dyDescent="0.25">
      <c r="A24" s="2" t="s">
        <v>9</v>
      </c>
      <c r="B24" s="3">
        <f>IF($G$5&lt;=DATE($G$9,6,1),DATE($G$9,6,1),"---")</f>
        <v>43983</v>
      </c>
      <c r="C24" s="3" t="str">
        <f>IF(B24="---","---",IF($G$7&lt;(DATE($G$9,7,1)-1),"---",(DATE($G$9,7,1)-1)))</f>
        <v>---</v>
      </c>
      <c r="D24" s="3" t="str">
        <f t="shared" si="0"/>
        <v>JA</v>
      </c>
      <c r="E24" s="3" t="str">
        <f t="shared" si="1"/>
        <v>NEIN</v>
      </c>
      <c r="F24" s="2">
        <f t="shared" si="2"/>
        <v>1</v>
      </c>
      <c r="G24" s="31" t="str">
        <f t="shared" si="3"/>
        <v>NEIN</v>
      </c>
      <c r="H24" s="32">
        <v>5</v>
      </c>
      <c r="I24" s="9">
        <f t="shared" si="4"/>
        <v>0</v>
      </c>
      <c r="J24" s="3">
        <f>IF($G$13&lt;=DATE($G$9,6,1),DATE($G$9,6,1),"---")</f>
        <v>43983</v>
      </c>
      <c r="K24" s="3" t="str">
        <f>IF(J24="---","---",IF($G$15&lt;(DATE($G$9,7,1)-1),"---",(DATE($G$9,7,1)-1)))</f>
        <v>---</v>
      </c>
      <c r="L24" s="3" t="str">
        <f t="shared" si="5"/>
        <v>JA</v>
      </c>
      <c r="M24" s="3" t="str">
        <f t="shared" si="6"/>
        <v>NEIN</v>
      </c>
      <c r="N24" s="3" t="str">
        <f t="shared" si="7"/>
        <v>NEIN</v>
      </c>
      <c r="O24" s="30">
        <f t="shared" si="8"/>
        <v>1</v>
      </c>
      <c r="P24" s="9" t="str">
        <f t="shared" si="9"/>
        <v>NEIN</v>
      </c>
      <c r="Q24" s="9" t="str">
        <f t="shared" si="10"/>
        <v>NEIN</v>
      </c>
      <c r="R24" s="29">
        <f t="shared" si="11"/>
        <v>0</v>
      </c>
      <c r="T24" t="s">
        <v>59</v>
      </c>
      <c r="U24">
        <f>ROUNDDOWN(U23,0)</f>
        <v>0</v>
      </c>
    </row>
    <row r="25" spans="1:21" x14ac:dyDescent="0.25">
      <c r="A25" s="2" t="s">
        <v>10</v>
      </c>
      <c r="B25" s="3">
        <f>IF($G$5&lt;=DATE($G$9,7,1),DATE($G$9,7,1),"---")</f>
        <v>44013</v>
      </c>
      <c r="C25" s="3" t="str">
        <f>IF(B25="---","---",IF($G$7&lt;(DATE($G$9,8,1)-1),"---",(DATE($G$9,8,1)-1)))</f>
        <v>---</v>
      </c>
      <c r="D25" s="3" t="str">
        <f t="shared" si="0"/>
        <v>JA</v>
      </c>
      <c r="E25" s="3" t="str">
        <f t="shared" si="1"/>
        <v>NEIN</v>
      </c>
      <c r="F25" s="2">
        <f t="shared" si="2"/>
        <v>1</v>
      </c>
      <c r="G25" s="31" t="str">
        <f t="shared" si="3"/>
        <v>NEIN</v>
      </c>
      <c r="H25" s="32">
        <v>5</v>
      </c>
      <c r="I25" s="9">
        <f t="shared" si="4"/>
        <v>0</v>
      </c>
      <c r="J25" s="3">
        <f>IF($G$13&lt;=DATE($G$9,7,1),DATE($G$9,7,1),"---")</f>
        <v>44013</v>
      </c>
      <c r="K25" s="3" t="str">
        <f>IF(J25="---","---",IF($G$15&lt;(DATE($G$9,8,1)-1),"---",(DATE($G$9,8,1)-1)))</f>
        <v>---</v>
      </c>
      <c r="L25" s="3" t="str">
        <f t="shared" si="5"/>
        <v>JA</v>
      </c>
      <c r="M25" s="3" t="str">
        <f t="shared" si="6"/>
        <v>NEIN</v>
      </c>
      <c r="N25" s="3" t="str">
        <f t="shared" si="7"/>
        <v>NEIN</v>
      </c>
      <c r="O25" s="30">
        <f t="shared" si="8"/>
        <v>1</v>
      </c>
      <c r="P25" s="9" t="str">
        <f t="shared" si="9"/>
        <v>NEIN</v>
      </c>
      <c r="Q25" s="9" t="str">
        <f t="shared" si="10"/>
        <v>NEIN</v>
      </c>
      <c r="R25" s="29">
        <f t="shared" si="11"/>
        <v>0</v>
      </c>
      <c r="T25" t="s">
        <v>62</v>
      </c>
      <c r="U25">
        <f>U23-U24</f>
        <v>0</v>
      </c>
    </row>
    <row r="26" spans="1:21" x14ac:dyDescent="0.25">
      <c r="A26" s="2" t="s">
        <v>11</v>
      </c>
      <c r="B26" s="3">
        <f>IF($G$5&lt;=DATE($G$9,8,1),DATE($G$9,8,1),"---")</f>
        <v>44044</v>
      </c>
      <c r="C26" s="3" t="str">
        <f>IF(B26="---","---",IF($G$7&lt;(DATE($G$9,9,1)-1),"---",(DATE($G$9,9,1)-1)))</f>
        <v>---</v>
      </c>
      <c r="D26" s="3" t="str">
        <f t="shared" si="0"/>
        <v>JA</v>
      </c>
      <c r="E26" s="3" t="str">
        <f t="shared" si="1"/>
        <v>NEIN</v>
      </c>
      <c r="F26" s="2">
        <f t="shared" si="2"/>
        <v>1</v>
      </c>
      <c r="G26" s="31" t="str">
        <f t="shared" si="3"/>
        <v>NEIN</v>
      </c>
      <c r="H26" s="32">
        <v>5</v>
      </c>
      <c r="I26" s="9">
        <f t="shared" si="4"/>
        <v>0</v>
      </c>
      <c r="J26" s="3">
        <f>IF($G$13&lt;=DATE($G$9,8,1),DATE($G$9,8,1),"---")</f>
        <v>44044</v>
      </c>
      <c r="K26" s="3" t="str">
        <f>IF(J26="---","---",IF($G$15&lt;(DATE($G$9,9,1)-1),"---",(DATE($G$9,9,1)-1)))</f>
        <v>---</v>
      </c>
      <c r="L26" s="3" t="str">
        <f t="shared" si="5"/>
        <v>JA</v>
      </c>
      <c r="M26" s="3" t="str">
        <f t="shared" si="6"/>
        <v>NEIN</v>
      </c>
      <c r="N26" s="3" t="str">
        <f t="shared" si="7"/>
        <v>NEIN</v>
      </c>
      <c r="O26" s="30">
        <f t="shared" si="8"/>
        <v>1</v>
      </c>
      <c r="P26" s="9" t="str">
        <f t="shared" si="9"/>
        <v>NEIN</v>
      </c>
      <c r="Q26" s="9" t="str">
        <f t="shared" si="10"/>
        <v>NEIN</v>
      </c>
      <c r="R26" s="29">
        <f t="shared" si="11"/>
        <v>0</v>
      </c>
      <c r="T26" t="s">
        <v>60</v>
      </c>
      <c r="U26">
        <f>ROUND(60*U25,0)</f>
        <v>0</v>
      </c>
    </row>
    <row r="27" spans="1:21" x14ac:dyDescent="0.25">
      <c r="A27" s="2" t="s">
        <v>12</v>
      </c>
      <c r="B27" s="3">
        <f>IF($G$5&lt;=DATE($G$9,9,1),DATE($G$9,9,1),"---")</f>
        <v>44075</v>
      </c>
      <c r="C27" s="3" t="str">
        <f>IF(B27="---","---",IF($G$7&lt;(DATE($G$9,10,1)-1),"---",(DATE($G$9,10,1)-1)))</f>
        <v>---</v>
      </c>
      <c r="D27" s="3" t="str">
        <f t="shared" si="0"/>
        <v>JA</v>
      </c>
      <c r="E27" s="3" t="str">
        <f t="shared" si="1"/>
        <v>NEIN</v>
      </c>
      <c r="F27" s="2">
        <f t="shared" si="2"/>
        <v>1</v>
      </c>
      <c r="G27" s="31" t="str">
        <f t="shared" si="3"/>
        <v>NEIN</v>
      </c>
      <c r="H27" s="32">
        <v>5</v>
      </c>
      <c r="I27" s="9">
        <f t="shared" si="4"/>
        <v>0</v>
      </c>
      <c r="J27" s="3">
        <f>IF($G$13&lt;=DATE($G$9,9,1),DATE($G$9,9,1),"---")</f>
        <v>44075</v>
      </c>
      <c r="K27" s="3" t="str">
        <f>IF(J27="---","---",IF($G$15&lt;(DATE($G$9,10,1)-1),"---",(DATE($G$9,10,1)-1)))</f>
        <v>---</v>
      </c>
      <c r="L27" s="3" t="str">
        <f t="shared" si="5"/>
        <v>JA</v>
      </c>
      <c r="M27" s="3" t="str">
        <f t="shared" si="6"/>
        <v>NEIN</v>
      </c>
      <c r="N27" s="3" t="str">
        <f t="shared" si="7"/>
        <v>NEIN</v>
      </c>
      <c r="O27" s="30">
        <f t="shared" si="8"/>
        <v>1</v>
      </c>
      <c r="P27" s="9" t="str">
        <f t="shared" si="9"/>
        <v>NEIN</v>
      </c>
      <c r="Q27" s="9" t="str">
        <f t="shared" si="10"/>
        <v>NEIN</v>
      </c>
      <c r="R27" s="29">
        <f t="shared" si="11"/>
        <v>0</v>
      </c>
    </row>
    <row r="28" spans="1:21" x14ac:dyDescent="0.25">
      <c r="A28" s="2" t="s">
        <v>13</v>
      </c>
      <c r="B28" s="3">
        <f>IF($G$5&lt;=DATE($G$9,10,1),DATE($G$9,10,1),"---")</f>
        <v>44105</v>
      </c>
      <c r="C28" s="3" t="str">
        <f>IF(B28="---","---",IF($G$7&lt;(DATE($G$9,11,1)-1),"---",(DATE($G$9,11,1)-1)))</f>
        <v>---</v>
      </c>
      <c r="D28" s="3" t="str">
        <f t="shared" si="0"/>
        <v>JA</v>
      </c>
      <c r="E28" s="3" t="str">
        <f t="shared" si="1"/>
        <v>NEIN</v>
      </c>
      <c r="F28" s="2">
        <f t="shared" si="2"/>
        <v>1</v>
      </c>
      <c r="G28" s="31" t="str">
        <f t="shared" si="3"/>
        <v>NEIN</v>
      </c>
      <c r="H28" s="32">
        <v>5</v>
      </c>
      <c r="I28" s="9">
        <f t="shared" si="4"/>
        <v>0</v>
      </c>
      <c r="J28" s="3">
        <f>IF($G$13&lt;=DATE($G$9,10,1),DATE($G$9,10,1),"---")</f>
        <v>44105</v>
      </c>
      <c r="K28" s="3" t="str">
        <f>IF(J28="---","---",IF($G$15&lt;(DATE($G$9,11,1)-1),"---",(DATE($G$9,11,1)-1)))</f>
        <v>---</v>
      </c>
      <c r="L28" s="3" t="str">
        <f t="shared" si="5"/>
        <v>JA</v>
      </c>
      <c r="M28" s="3" t="str">
        <f t="shared" si="6"/>
        <v>NEIN</v>
      </c>
      <c r="N28" s="3" t="str">
        <f t="shared" si="7"/>
        <v>NEIN</v>
      </c>
      <c r="O28" s="30">
        <f t="shared" si="8"/>
        <v>1</v>
      </c>
      <c r="P28" s="9" t="str">
        <f t="shared" si="9"/>
        <v>NEIN</v>
      </c>
      <c r="Q28" s="9" t="str">
        <f t="shared" si="10"/>
        <v>NEIN</v>
      </c>
      <c r="R28" s="29">
        <f t="shared" si="11"/>
        <v>0</v>
      </c>
    </row>
    <row r="29" spans="1:21" x14ac:dyDescent="0.25">
      <c r="A29" s="2" t="s">
        <v>14</v>
      </c>
      <c r="B29" s="3">
        <f>IF($G$5&lt;=DATE($G$9,11,1),DATE($G$9,11,1),"---")</f>
        <v>44136</v>
      </c>
      <c r="C29" s="3" t="str">
        <f>IF(B29="---","---",IF($G$7&lt;(DATE($G$9,12,1)-1),"---",(DATE($G$9,12,1)-1)))</f>
        <v>---</v>
      </c>
      <c r="D29" s="3" t="str">
        <f t="shared" si="0"/>
        <v>JA</v>
      </c>
      <c r="E29" s="3" t="str">
        <f t="shared" si="1"/>
        <v>NEIN</v>
      </c>
      <c r="F29" s="2">
        <f t="shared" si="2"/>
        <v>1</v>
      </c>
      <c r="G29" s="31" t="str">
        <f t="shared" si="3"/>
        <v>NEIN</v>
      </c>
      <c r="H29" s="32">
        <v>5</v>
      </c>
      <c r="I29" s="9">
        <f t="shared" si="4"/>
        <v>0</v>
      </c>
      <c r="J29" s="3">
        <f>IF($G$13&lt;=DATE($G$9,11,1),DATE($G$9,11,1),"---")</f>
        <v>44136</v>
      </c>
      <c r="K29" s="3" t="str">
        <f>IF(J29="---","---",IF($G$15&lt;(DATE($G$9,12,1)-1),"---",(DATE($G$9,12,1)-1)))</f>
        <v>---</v>
      </c>
      <c r="L29" s="3" t="str">
        <f t="shared" si="5"/>
        <v>JA</v>
      </c>
      <c r="M29" s="3" t="str">
        <f t="shared" si="6"/>
        <v>NEIN</v>
      </c>
      <c r="N29" s="3" t="str">
        <f t="shared" si="7"/>
        <v>NEIN</v>
      </c>
      <c r="O29" s="30">
        <f t="shared" si="8"/>
        <v>1</v>
      </c>
      <c r="P29" s="9" t="str">
        <f t="shared" si="9"/>
        <v>NEIN</v>
      </c>
      <c r="Q29" s="9" t="str">
        <f t="shared" si="10"/>
        <v>NEIN</v>
      </c>
      <c r="R29" s="29">
        <f t="shared" si="11"/>
        <v>0</v>
      </c>
    </row>
    <row r="30" spans="1:21" x14ac:dyDescent="0.25">
      <c r="A30" s="2" t="s">
        <v>15</v>
      </c>
      <c r="B30" s="3">
        <f>IF($G$5&lt;=DATE($G$9,12,1),DATE($G$9,12,1),"---")</f>
        <v>44166</v>
      </c>
      <c r="C30" s="3" t="str">
        <f>IF(B30="---","---",IF($G$7&lt;(DATE($H$9,1,1)-1),"---",(DATE($H$9,1,1)-1)))</f>
        <v>---</v>
      </c>
      <c r="D30" s="3" t="str">
        <f t="shared" si="0"/>
        <v>JA</v>
      </c>
      <c r="E30" s="3" t="str">
        <f t="shared" si="1"/>
        <v>NEIN</v>
      </c>
      <c r="F30" s="2">
        <f t="shared" si="2"/>
        <v>1</v>
      </c>
      <c r="G30" s="31" t="str">
        <f t="shared" si="3"/>
        <v>NEIN</v>
      </c>
      <c r="H30" s="32">
        <v>5</v>
      </c>
      <c r="I30" s="9">
        <f t="shared" si="4"/>
        <v>0</v>
      </c>
      <c r="J30" s="3">
        <f>IF($G$13&lt;=DATE($G$9,12,1),DATE($G$9,12,1),"---")</f>
        <v>44166</v>
      </c>
      <c r="K30" s="3" t="str">
        <f>IF(J30="---","---",IF($G$15&lt;(DATE($H$9,1,1)-1),"---",(DATE($H$9,1,1)-1)))</f>
        <v>---</v>
      </c>
      <c r="L30" s="3" t="str">
        <f t="shared" si="5"/>
        <v>JA</v>
      </c>
      <c r="M30" s="3" t="str">
        <f t="shared" si="6"/>
        <v>NEIN</v>
      </c>
      <c r="N30" s="3" t="str">
        <f t="shared" si="7"/>
        <v>NEIN</v>
      </c>
      <c r="O30" s="30">
        <f t="shared" si="8"/>
        <v>1</v>
      </c>
      <c r="P30" s="9" t="str">
        <f t="shared" si="9"/>
        <v>NEIN</v>
      </c>
      <c r="Q30" s="9" t="str">
        <f t="shared" si="10"/>
        <v>NEIN</v>
      </c>
      <c r="R30" s="29">
        <f t="shared" si="11"/>
        <v>0</v>
      </c>
    </row>
    <row r="32" spans="1:21" x14ac:dyDescent="0.25">
      <c r="A32" s="7" t="s">
        <v>28</v>
      </c>
      <c r="B32" s="7"/>
      <c r="C32" s="7"/>
      <c r="D32" s="7"/>
      <c r="E32" s="7"/>
      <c r="F32" s="7"/>
      <c r="G32" s="8">
        <f>ROUND(SUM(I19:I30),0)</f>
        <v>0</v>
      </c>
      <c r="H32" s="7" t="s">
        <v>24</v>
      </c>
      <c r="R32" s="33"/>
    </row>
    <row r="33" spans="1:18" x14ac:dyDescent="0.25">
      <c r="R33" s="33"/>
    </row>
    <row r="34" spans="1:18" x14ac:dyDescent="0.25">
      <c r="A34" s="7" t="s">
        <v>55</v>
      </c>
      <c r="G34" s="8">
        <f>ROUND(U18,0)</f>
        <v>0</v>
      </c>
      <c r="H34" s="7" t="str">
        <f>CONCATENATE("Tag(e) und ",U24," Stunde(n) und ",U26," Minute(n)")</f>
        <v>Tag(e) und 0 Stunde(n) und 0 Minute(n)</v>
      </c>
      <c r="I34" s="7"/>
    </row>
    <row r="36" spans="1:18" x14ac:dyDescent="0.25">
      <c r="A36" s="10" t="s">
        <v>26</v>
      </c>
    </row>
    <row r="37" spans="1:18" x14ac:dyDescent="0.25">
      <c r="A37" t="s">
        <v>27</v>
      </c>
    </row>
  </sheetData>
  <sheetProtection algorithmName="SHA-512" hashValue="4jgMoS6s82niL1VkYB2vrFvlmPq9kaLZAlrHrRC4lrFm57qzBO0SjALkR4jDp0wU8n5g5RIr+9wwC1ebtDCNXQ==" saltValue="onxrRu3l9R9kfwtuUWvmgg==" spinCount="100000" sheet="1" objects="1" scenarios="1" selectLockedCells="1"/>
  <mergeCells count="2">
    <mergeCell ref="G1:H1"/>
    <mergeCell ref="G3:H3"/>
  </mergeCells>
  <pageMargins left="0.7" right="0.7" top="0.88541666666666663" bottom="0.75" header="0.3" footer="0.3"/>
  <pageSetup paperSize="9" orientation="landscape" r:id="rId1"/>
  <headerFooter>
    <oddHeader>&amp;C&amp;"-,Fett"&amp;18Urlaubsberechnung TV-L</oddHeader>
    <oddFooter>&amp;LOtto-Friedrich-Universität Bamberg
Referat III/3&amp;R&amp;UStand:&amp;U 16.05.2019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E49"/>
  <sheetViews>
    <sheetView zoomScaleNormal="100" workbookViewId="0">
      <selection activeCell="A43" sqref="A43"/>
    </sheetView>
  </sheetViews>
  <sheetFormatPr baseColWidth="10" defaultRowHeight="15" x14ac:dyDescent="0.25"/>
  <cols>
    <col min="1" max="1" width="27.42578125" bestFit="1" customWidth="1"/>
    <col min="2" max="2" width="12.85546875" customWidth="1"/>
    <col min="3" max="3" width="13.42578125" customWidth="1"/>
    <col min="4" max="4" width="28.28515625" bestFit="1" customWidth="1"/>
  </cols>
  <sheetData>
    <row r="2" spans="1:5" x14ac:dyDescent="0.25">
      <c r="A2" s="5" t="s">
        <v>0</v>
      </c>
      <c r="B2" s="25" t="str">
        <f>IF(Urlaubsberechnung!G1="","",Urlaubsberechnung!G1)</f>
        <v/>
      </c>
      <c r="C2" s="25"/>
      <c r="D2" s="26"/>
      <c r="E2" s="16"/>
    </row>
    <row r="4" spans="1:5" x14ac:dyDescent="0.25">
      <c r="A4" s="5" t="s">
        <v>1</v>
      </c>
      <c r="B4" s="25" t="str">
        <f>IF(Urlaubsberechnung!G3="","",Urlaubsberechnung!G3)</f>
        <v/>
      </c>
      <c r="C4" s="25"/>
      <c r="D4" s="26"/>
      <c r="E4" s="16"/>
    </row>
    <row r="6" spans="1:5" x14ac:dyDescent="0.25">
      <c r="A6" s="5" t="s">
        <v>16</v>
      </c>
      <c r="B6" s="20">
        <f>IF(Urlaubsberechnung!G9="","",Urlaubsberechnung!G9)</f>
        <v>2020</v>
      </c>
    </row>
    <row r="8" spans="1:5" x14ac:dyDescent="0.25">
      <c r="A8" s="5" t="s">
        <v>35</v>
      </c>
      <c r="B8" s="21"/>
    </row>
    <row r="10" spans="1:5" x14ac:dyDescent="0.25">
      <c r="A10" s="5" t="s">
        <v>36</v>
      </c>
      <c r="B10" s="22">
        <f>Urlaubsberechnung!G32</f>
        <v>0</v>
      </c>
    </row>
    <row r="12" spans="1:5" x14ac:dyDescent="0.25">
      <c r="A12" s="5" t="s">
        <v>37</v>
      </c>
      <c r="B12" s="22">
        <f>B8+B10</f>
        <v>0</v>
      </c>
    </row>
    <row r="15" spans="1:5" x14ac:dyDescent="0.25">
      <c r="A15" s="18" t="s">
        <v>38</v>
      </c>
      <c r="B15" s="18" t="s">
        <v>39</v>
      </c>
      <c r="C15" s="18" t="s">
        <v>40</v>
      </c>
      <c r="D15" s="18" t="s">
        <v>41</v>
      </c>
    </row>
    <row r="16" spans="1:5" x14ac:dyDescent="0.25">
      <c r="A16" s="19">
        <f>B12</f>
        <v>0</v>
      </c>
      <c r="B16" s="17"/>
      <c r="C16" s="17"/>
      <c r="D16" s="17"/>
    </row>
    <row r="17" spans="1:4" x14ac:dyDescent="0.25">
      <c r="A17" s="19" t="str">
        <f>IF(D16="","",A16-D16)</f>
        <v/>
      </c>
      <c r="B17" s="17"/>
      <c r="C17" s="17"/>
      <c r="D17" s="17"/>
    </row>
    <row r="18" spans="1:4" x14ac:dyDescent="0.25">
      <c r="A18" s="19" t="str">
        <f t="shared" ref="A18:A49" si="0">IF(D17="","",A17-D17)</f>
        <v/>
      </c>
      <c r="B18" s="17"/>
      <c r="C18" s="17"/>
      <c r="D18" s="17"/>
    </row>
    <row r="19" spans="1:4" x14ac:dyDescent="0.25">
      <c r="A19" s="19" t="str">
        <f t="shared" si="0"/>
        <v/>
      </c>
      <c r="B19" s="17"/>
      <c r="C19" s="17"/>
      <c r="D19" s="17"/>
    </row>
    <row r="20" spans="1:4" x14ac:dyDescent="0.25">
      <c r="A20" s="19" t="str">
        <f t="shared" si="0"/>
        <v/>
      </c>
      <c r="B20" s="17"/>
      <c r="C20" s="17"/>
      <c r="D20" s="17"/>
    </row>
    <row r="21" spans="1:4" x14ac:dyDescent="0.25">
      <c r="A21" s="19" t="str">
        <f t="shared" si="0"/>
        <v/>
      </c>
      <c r="B21" s="17"/>
      <c r="C21" s="17"/>
      <c r="D21" s="17"/>
    </row>
    <row r="22" spans="1:4" x14ac:dyDescent="0.25">
      <c r="A22" s="19" t="str">
        <f t="shared" si="0"/>
        <v/>
      </c>
      <c r="B22" s="17"/>
      <c r="C22" s="17"/>
      <c r="D22" s="17"/>
    </row>
    <row r="23" spans="1:4" x14ac:dyDescent="0.25">
      <c r="A23" s="19" t="str">
        <f t="shared" si="0"/>
        <v/>
      </c>
      <c r="B23" s="17"/>
      <c r="C23" s="17"/>
      <c r="D23" s="17"/>
    </row>
    <row r="24" spans="1:4" x14ac:dyDescent="0.25">
      <c r="A24" s="19" t="str">
        <f t="shared" si="0"/>
        <v/>
      </c>
      <c r="B24" s="17"/>
      <c r="C24" s="17"/>
      <c r="D24" s="17"/>
    </row>
    <row r="25" spans="1:4" x14ac:dyDescent="0.25">
      <c r="A25" s="19" t="str">
        <f t="shared" si="0"/>
        <v/>
      </c>
      <c r="B25" s="17"/>
      <c r="C25" s="17"/>
      <c r="D25" s="17"/>
    </row>
    <row r="26" spans="1:4" x14ac:dyDescent="0.25">
      <c r="A26" s="19" t="str">
        <f t="shared" si="0"/>
        <v/>
      </c>
      <c r="B26" s="17"/>
      <c r="C26" s="17"/>
      <c r="D26" s="17"/>
    </row>
    <row r="27" spans="1:4" x14ac:dyDescent="0.25">
      <c r="A27" s="19" t="str">
        <f t="shared" si="0"/>
        <v/>
      </c>
      <c r="B27" s="17"/>
      <c r="C27" s="17"/>
      <c r="D27" s="17"/>
    </row>
    <row r="28" spans="1:4" x14ac:dyDescent="0.25">
      <c r="A28" s="19" t="str">
        <f t="shared" si="0"/>
        <v/>
      </c>
      <c r="B28" s="17"/>
      <c r="C28" s="17"/>
      <c r="D28" s="17"/>
    </row>
    <row r="29" spans="1:4" x14ac:dyDescent="0.25">
      <c r="A29" s="19" t="str">
        <f t="shared" si="0"/>
        <v/>
      </c>
      <c r="B29" s="17"/>
      <c r="C29" s="17"/>
      <c r="D29" s="17"/>
    </row>
    <row r="30" spans="1:4" x14ac:dyDescent="0.25">
      <c r="A30" s="19" t="str">
        <f t="shared" si="0"/>
        <v/>
      </c>
      <c r="B30" s="17"/>
      <c r="C30" s="17"/>
      <c r="D30" s="17"/>
    </row>
    <row r="31" spans="1:4" x14ac:dyDescent="0.25">
      <c r="A31" s="19" t="str">
        <f t="shared" si="0"/>
        <v/>
      </c>
      <c r="B31" s="17"/>
      <c r="C31" s="17"/>
      <c r="D31" s="17"/>
    </row>
    <row r="32" spans="1:4" x14ac:dyDescent="0.25">
      <c r="A32" s="19" t="str">
        <f t="shared" si="0"/>
        <v/>
      </c>
      <c r="B32" s="17"/>
      <c r="C32" s="17"/>
      <c r="D32" s="17"/>
    </row>
    <row r="33" spans="1:4" x14ac:dyDescent="0.25">
      <c r="A33" s="19" t="str">
        <f t="shared" si="0"/>
        <v/>
      </c>
      <c r="B33" s="17"/>
      <c r="C33" s="17"/>
      <c r="D33" s="17"/>
    </row>
    <row r="34" spans="1:4" x14ac:dyDescent="0.25">
      <c r="A34" s="19" t="str">
        <f t="shared" si="0"/>
        <v/>
      </c>
      <c r="B34" s="17"/>
      <c r="C34" s="17"/>
      <c r="D34" s="17"/>
    </row>
    <row r="35" spans="1:4" x14ac:dyDescent="0.25">
      <c r="A35" s="19" t="str">
        <f t="shared" si="0"/>
        <v/>
      </c>
      <c r="B35" s="17"/>
      <c r="C35" s="17"/>
      <c r="D35" s="17"/>
    </row>
    <row r="36" spans="1:4" x14ac:dyDescent="0.25">
      <c r="A36" s="19" t="str">
        <f t="shared" si="0"/>
        <v/>
      </c>
      <c r="B36" s="17"/>
      <c r="C36" s="17"/>
      <c r="D36" s="17"/>
    </row>
    <row r="37" spans="1:4" x14ac:dyDescent="0.25">
      <c r="A37" s="19" t="str">
        <f t="shared" si="0"/>
        <v/>
      </c>
      <c r="B37" s="17"/>
      <c r="C37" s="17"/>
      <c r="D37" s="17"/>
    </row>
    <row r="38" spans="1:4" x14ac:dyDescent="0.25">
      <c r="A38" s="19" t="str">
        <f t="shared" si="0"/>
        <v/>
      </c>
      <c r="B38" s="17"/>
      <c r="C38" s="17"/>
      <c r="D38" s="17"/>
    </row>
    <row r="39" spans="1:4" x14ac:dyDescent="0.25">
      <c r="A39" s="19" t="str">
        <f t="shared" si="0"/>
        <v/>
      </c>
      <c r="B39" s="17"/>
      <c r="C39" s="17"/>
      <c r="D39" s="17"/>
    </row>
    <row r="40" spans="1:4" x14ac:dyDescent="0.25">
      <c r="A40" s="19" t="str">
        <f t="shared" si="0"/>
        <v/>
      </c>
      <c r="B40" s="17"/>
      <c r="C40" s="17"/>
      <c r="D40" s="17"/>
    </row>
    <row r="41" spans="1:4" x14ac:dyDescent="0.25">
      <c r="A41" s="19" t="str">
        <f t="shared" si="0"/>
        <v/>
      </c>
      <c r="B41" s="17"/>
      <c r="C41" s="17"/>
      <c r="D41" s="17"/>
    </row>
    <row r="42" spans="1:4" x14ac:dyDescent="0.25">
      <c r="A42" s="19" t="str">
        <f t="shared" si="0"/>
        <v/>
      </c>
      <c r="B42" s="17"/>
      <c r="C42" s="17"/>
      <c r="D42" s="17"/>
    </row>
    <row r="43" spans="1:4" x14ac:dyDescent="0.25">
      <c r="A43" s="19" t="str">
        <f t="shared" si="0"/>
        <v/>
      </c>
      <c r="B43" s="17"/>
      <c r="C43" s="17"/>
      <c r="D43" s="17"/>
    </row>
    <row r="44" spans="1:4" x14ac:dyDescent="0.25">
      <c r="A44" s="19" t="str">
        <f t="shared" si="0"/>
        <v/>
      </c>
      <c r="B44" s="17"/>
      <c r="C44" s="17"/>
      <c r="D44" s="17"/>
    </row>
    <row r="45" spans="1:4" x14ac:dyDescent="0.25">
      <c r="A45" s="19" t="str">
        <f t="shared" si="0"/>
        <v/>
      </c>
      <c r="B45" s="17"/>
      <c r="C45" s="17"/>
      <c r="D45" s="17"/>
    </row>
    <row r="46" spans="1:4" x14ac:dyDescent="0.25">
      <c r="A46" s="19" t="str">
        <f t="shared" si="0"/>
        <v/>
      </c>
      <c r="B46" s="17"/>
      <c r="C46" s="17"/>
      <c r="D46" s="17"/>
    </row>
    <row r="47" spans="1:4" x14ac:dyDescent="0.25">
      <c r="A47" s="19" t="str">
        <f t="shared" si="0"/>
        <v/>
      </c>
      <c r="B47" s="17"/>
      <c r="C47" s="17"/>
      <c r="D47" s="17"/>
    </row>
    <row r="48" spans="1:4" x14ac:dyDescent="0.25">
      <c r="A48" s="19" t="str">
        <f t="shared" si="0"/>
        <v/>
      </c>
      <c r="B48" s="17"/>
      <c r="C48" s="17"/>
      <c r="D48" s="17"/>
    </row>
    <row r="49" spans="1:4" x14ac:dyDescent="0.25">
      <c r="A49" s="19" t="str">
        <f t="shared" si="0"/>
        <v/>
      </c>
      <c r="B49" s="17"/>
      <c r="C49" s="17"/>
      <c r="D49" s="17"/>
    </row>
  </sheetData>
  <sheetProtection algorithmName="SHA-512" hashValue="oaLwuI3J+IL2JAI4epdHmQBtR1Ye5eejezglvho6845JGBUEHtBKS7OGun6yKremqaQ26HC/J/B1H8S5Pq+5HA==" saltValue="sdzGtkstqZrnDwaJpglvoQ==" spinCount="100000" sheet="1" objects="1" scenarios="1"/>
  <mergeCells count="2">
    <mergeCell ref="B2:D2"/>
    <mergeCell ref="B4:D4"/>
  </mergeCells>
  <pageMargins left="0.7" right="0.7" top="0.78740157499999996" bottom="0.78740157499999996" header="0.3" footer="0.3"/>
  <pageSetup paperSize="9" orientation="portrait" r:id="rId1"/>
  <headerFooter>
    <oddHeader>&amp;C&amp;"-,Fett"&amp;18Urlaubsüberwachung (TV-L)</oddHeader>
    <oddFooter>&amp;LOtto-Friedrich-Universität Bamberg
Referat III/3&amp;R&amp;UStand:&amp;U 16.05.2019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13"/>
  <sheetViews>
    <sheetView zoomScaleNormal="100" workbookViewId="0">
      <selection activeCell="B27" sqref="B27"/>
    </sheetView>
  </sheetViews>
  <sheetFormatPr baseColWidth="10" defaultRowHeight="15" x14ac:dyDescent="0.25"/>
  <cols>
    <col min="1" max="1" width="4.140625" customWidth="1"/>
    <col min="2" max="2" width="79.28515625" customWidth="1"/>
    <col min="3" max="3" width="15.28515625" customWidth="1"/>
  </cols>
  <sheetData>
    <row r="1" spans="1:2" x14ac:dyDescent="0.25">
      <c r="A1" s="7" t="s">
        <v>29</v>
      </c>
    </row>
    <row r="3" spans="1:2" x14ac:dyDescent="0.25">
      <c r="A3" s="15" t="s">
        <v>30</v>
      </c>
      <c r="B3" s="14" t="s">
        <v>31</v>
      </c>
    </row>
    <row r="4" spans="1:2" ht="45" x14ac:dyDescent="0.25">
      <c r="A4" s="15" t="s">
        <v>32</v>
      </c>
      <c r="B4" s="14" t="s">
        <v>33</v>
      </c>
    </row>
    <row r="7" spans="1:2" x14ac:dyDescent="0.25">
      <c r="A7" s="7" t="s">
        <v>42</v>
      </c>
    </row>
    <row r="8" spans="1:2" x14ac:dyDescent="0.25">
      <c r="A8" t="s">
        <v>30</v>
      </c>
      <c r="B8" t="s">
        <v>43</v>
      </c>
    </row>
    <row r="9" spans="1:2" x14ac:dyDescent="0.25">
      <c r="A9" t="s">
        <v>32</v>
      </c>
      <c r="B9" t="s">
        <v>44</v>
      </c>
    </row>
    <row r="10" spans="1:2" ht="30" x14ac:dyDescent="0.25">
      <c r="A10" t="s">
        <v>45</v>
      </c>
      <c r="B10" s="14" t="s">
        <v>46</v>
      </c>
    </row>
    <row r="13" spans="1:2" x14ac:dyDescent="0.25">
      <c r="B13" t="s">
        <v>34</v>
      </c>
    </row>
  </sheetData>
  <sheetProtection algorithmName="SHA-512" hashValue="IX1LbkroPrswogM8I01u6RdyYjx9xZAXgiDdsspe4lCmw0qWoKSP9LuhXc+qAdOsTQeq67fWMGReX+r+/N/IZw==" saltValue="1pPYogl6tlqZ/NF7gnG4XA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Urlaubsberechnung</vt:lpstr>
      <vt:lpstr>Urlaubsüberwachung</vt:lpstr>
      <vt:lpstr>Anleitung</vt:lpstr>
    </vt:vector>
  </TitlesOfParts>
  <Company>Uni-Bamberg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Sommerer</dc:creator>
  <cp:lastModifiedBy>Jan Sommerer</cp:lastModifiedBy>
  <cp:lastPrinted>2019-05-15T14:11:01Z</cp:lastPrinted>
  <dcterms:created xsi:type="dcterms:W3CDTF">2019-05-15T10:30:34Z</dcterms:created>
  <dcterms:modified xsi:type="dcterms:W3CDTF">2020-02-12T09:42:20Z</dcterms:modified>
</cp:coreProperties>
</file>